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din\Dropbox\Backed Up\"/>
    </mc:Choice>
  </mc:AlternateContent>
  <bookViews>
    <workbookView xWindow="0" yWindow="0" windowWidth="32868" windowHeight="15192"/>
  </bookViews>
  <sheets>
    <sheet name="Recipe" sheetId="1" r:id="rId1"/>
    <sheet name="Calculations" sheetId="3" r:id="rId2"/>
    <sheet name="Tables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9" i="2"/>
  <c r="H8" i="2"/>
  <c r="H10" i="2"/>
  <c r="H7" i="2"/>
  <c r="G30" i="1" s="1"/>
  <c r="H3" i="2"/>
  <c r="H2" i="2"/>
  <c r="G28" i="1" s="1"/>
  <c r="G34" i="1"/>
  <c r="H11" i="2"/>
  <c r="G29" i="1"/>
  <c r="G31" i="1"/>
  <c r="G32" i="1"/>
  <c r="G33" i="1"/>
  <c r="G27" i="1"/>
  <c r="D18" i="1"/>
  <c r="B10" i="2"/>
  <c r="B14" i="3"/>
  <c r="B10" i="3"/>
  <c r="N10" i="3" s="1"/>
  <c r="O10" i="3" s="1"/>
  <c r="B26" i="3" s="1"/>
  <c r="D9" i="3"/>
  <c r="D12" i="3" s="1"/>
  <c r="D13" i="3" s="1"/>
  <c r="D14" i="3" s="1"/>
  <c r="C8" i="3"/>
  <c r="C12" i="3" s="1"/>
  <c r="C13" i="3" s="1"/>
  <c r="C14" i="3" s="1"/>
  <c r="F7" i="3"/>
  <c r="E2" i="2"/>
  <c r="D39" i="1" l="1"/>
  <c r="D40" i="1" s="1"/>
  <c r="D34" i="1"/>
  <c r="F22" i="1" s="1"/>
  <c r="J9" i="3"/>
  <c r="I8" i="3"/>
  <c r="I12" i="3" s="1"/>
  <c r="I13" i="3" s="1"/>
  <c r="I14" i="3" s="1"/>
  <c r="J12" i="3"/>
  <c r="J13" i="3" s="1"/>
  <c r="J14" i="3" s="1"/>
  <c r="B9" i="3"/>
  <c r="N9" i="3" s="1"/>
  <c r="B8" i="3"/>
  <c r="N8" i="3" s="1"/>
  <c r="G7" i="3"/>
  <c r="G6" i="3" s="1"/>
  <c r="E6" i="3" s="1"/>
  <c r="F12" i="3"/>
  <c r="F13" i="3" s="1"/>
  <c r="F14" i="3" s="1"/>
  <c r="B24" i="3" l="1"/>
  <c r="I24" i="3" s="1"/>
  <c r="I28" i="3" s="1"/>
  <c r="I29" i="3" s="1"/>
  <c r="I30" i="3" s="1"/>
  <c r="D32" i="1"/>
  <c r="B25" i="3"/>
  <c r="D25" i="3" s="1"/>
  <c r="D28" i="3" s="1"/>
  <c r="D33" i="1"/>
  <c r="B6" i="3"/>
  <c r="N6" i="3" s="1"/>
  <c r="E5" i="3"/>
  <c r="G12" i="3"/>
  <c r="G13" i="3" s="1"/>
  <c r="G14" i="3" s="1"/>
  <c r="B7" i="3"/>
  <c r="N7" i="3" s="1"/>
  <c r="D29" i="3" l="1"/>
  <c r="D30" i="3" s="1"/>
  <c r="F5" i="1"/>
  <c r="B22" i="3"/>
  <c r="G22" i="3" s="1"/>
  <c r="D30" i="1"/>
  <c r="C24" i="3"/>
  <c r="C28" i="3" s="1"/>
  <c r="J25" i="3"/>
  <c r="J28" i="3" s="1"/>
  <c r="J29" i="3" s="1"/>
  <c r="J30" i="3" s="1"/>
  <c r="B23" i="3"/>
  <c r="G23" i="3" s="1"/>
  <c r="D31" i="1"/>
  <c r="H5" i="3"/>
  <c r="H12" i="3" s="1"/>
  <c r="H13" i="3" s="1"/>
  <c r="H14" i="3" s="1"/>
  <c r="E12" i="3"/>
  <c r="E13" i="3" s="1"/>
  <c r="E22" i="3" l="1"/>
  <c r="C29" i="3"/>
  <c r="C30" i="3" s="1"/>
  <c r="F4" i="1"/>
  <c r="G28" i="3"/>
  <c r="F23" i="3"/>
  <c r="F28" i="3" s="1"/>
  <c r="B5" i="3"/>
  <c r="N5" i="3" s="1"/>
  <c r="E14" i="3"/>
  <c r="K14" i="3" s="1"/>
  <c r="F29" i="3" l="1"/>
  <c r="F30" i="3" s="1"/>
  <c r="F7" i="1"/>
  <c r="G29" i="3"/>
  <c r="G30" i="3" s="1"/>
  <c r="F8" i="1"/>
  <c r="B21" i="3"/>
  <c r="H21" i="3" s="1"/>
  <c r="H28" i="3" s="1"/>
  <c r="H29" i="3" s="1"/>
  <c r="H30" i="3" s="1"/>
  <c r="D29" i="1"/>
  <c r="L14" i="3"/>
  <c r="L13" i="3" s="1"/>
  <c r="L3" i="3" s="1"/>
  <c r="K13" i="3"/>
  <c r="K4" i="3" s="1"/>
  <c r="E21" i="3" l="1"/>
  <c r="E28" i="3" s="1"/>
  <c r="K12" i="3"/>
  <c r="B4" i="3"/>
  <c r="N4" i="3" s="1"/>
  <c r="L12" i="3"/>
  <c r="B3" i="3"/>
  <c r="E29" i="3" l="1"/>
  <c r="E30" i="3" s="1"/>
  <c r="F6" i="1"/>
  <c r="B20" i="3"/>
  <c r="K20" i="3" s="1"/>
  <c r="K28" i="3" s="1"/>
  <c r="D27" i="1"/>
  <c r="B12" i="3"/>
  <c r="N3" i="3"/>
  <c r="K29" i="3" l="1"/>
  <c r="B19" i="3"/>
  <c r="L19" i="3" s="1"/>
  <c r="L28" i="3" s="1"/>
  <c r="L29" i="3" s="1"/>
  <c r="L30" i="3" s="1"/>
  <c r="D28" i="1"/>
  <c r="D36" i="1" l="1"/>
  <c r="B28" i="3"/>
  <c r="D37" i="1" s="1"/>
  <c r="K30" i="3"/>
  <c r="B30" i="3" s="1"/>
  <c r="F17" i="1" s="1"/>
  <c r="B29" i="3"/>
  <c r="B13" i="3" l="1"/>
</calcChain>
</file>

<file path=xl/comments1.xml><?xml version="1.0" encoding="utf-8"?>
<comments xmlns="http://schemas.openxmlformats.org/spreadsheetml/2006/main">
  <authors>
    <author>odin</author>
  </authors>
  <commentList>
    <comment ref="C31" authorId="0" shapeId="0">
      <text>
        <r>
          <rPr>
            <b/>
            <sz val="9"/>
            <color indexed="81"/>
            <rFont val="Tahoma"/>
            <charset val="1"/>
          </rPr>
          <t xml:space="preserve">odin:
</t>
        </r>
        <r>
          <rPr>
            <sz val="9"/>
            <color indexed="81"/>
            <rFont val="Tahoma"/>
            <family val="2"/>
          </rPr>
          <t>Potassium Chloride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odin:</t>
        </r>
        <r>
          <rPr>
            <sz val="9"/>
            <color indexed="81"/>
            <rFont val="Tahoma"/>
            <family val="2"/>
          </rPr>
          <t xml:space="preserve">
Calcium Citrate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odin:</t>
        </r>
        <r>
          <rPr>
            <sz val="9"/>
            <color indexed="81"/>
            <rFont val="Tahoma"/>
            <family val="2"/>
          </rPr>
          <t xml:space="preserve">
Magnesium Citrate</t>
        </r>
      </text>
    </comment>
  </commentList>
</comments>
</file>

<file path=xl/sharedStrings.xml><?xml version="1.0" encoding="utf-8"?>
<sst xmlns="http://schemas.openxmlformats.org/spreadsheetml/2006/main" count="149" uniqueCount="90">
  <si>
    <t>Ca</t>
  </si>
  <si>
    <t>Mg</t>
  </si>
  <si>
    <t>Na</t>
  </si>
  <si>
    <t>K</t>
  </si>
  <si>
    <t>Cl</t>
  </si>
  <si>
    <t>Sweat Concentration</t>
  </si>
  <si>
    <t>g/L</t>
  </si>
  <si>
    <t>Drink Quantity</t>
  </si>
  <si>
    <t>Bottle Size</t>
  </si>
  <si>
    <t>Total Fluid</t>
  </si>
  <si>
    <t>Replace the electrolytes lost in 1L of sweat over this much liquid.  Remember you lose liquid to respiration as well as perspiration.</t>
  </si>
  <si>
    <t>fl. oz.</t>
  </si>
  <si>
    <t>Target</t>
  </si>
  <si>
    <t>mmol/kg</t>
  </si>
  <si>
    <t>Absorbtion</t>
  </si>
  <si>
    <t>Glu:Fru</t>
  </si>
  <si>
    <t>Flavor</t>
  </si>
  <si>
    <t>g/mol</t>
  </si>
  <si>
    <t>C6H5O7</t>
  </si>
  <si>
    <t>HCO3</t>
  </si>
  <si>
    <t>Sucrose</t>
  </si>
  <si>
    <t>Maltodextrin</t>
  </si>
  <si>
    <t>Pea Protein</t>
  </si>
  <si>
    <t>g/batch</t>
  </si>
  <si>
    <t>Totals</t>
  </si>
  <si>
    <t>mmoles</t>
  </si>
  <si>
    <t>mmoles/Kg</t>
  </si>
  <si>
    <t>Sugar</t>
  </si>
  <si>
    <t>Protein powder</t>
  </si>
  <si>
    <t>Caffeine</t>
  </si>
  <si>
    <t>Kool Aid</t>
  </si>
  <si>
    <t>Kool-Aid</t>
  </si>
  <si>
    <t>g/packet</t>
  </si>
  <si>
    <t>KCl</t>
  </si>
  <si>
    <t>NaCl</t>
  </si>
  <si>
    <t>Ca3(C6H5O7)2</t>
  </si>
  <si>
    <t>MgC6H6O7</t>
  </si>
  <si>
    <t>C6H6O7</t>
  </si>
  <si>
    <t>1. Set K to the goal</t>
  </si>
  <si>
    <t>2. Calculate the Cl that KCl brings in</t>
  </si>
  <si>
    <t>3. Bring in enough NaCl to get Cl to the goal</t>
  </si>
  <si>
    <t>4. Calculate the Na that the NaCl brings in</t>
  </si>
  <si>
    <t>5. Bring in enough NaHCO3 to meet the Na goal</t>
  </si>
  <si>
    <t>NaHCO3</t>
  </si>
  <si>
    <t>6. Bring in enough Ca3(C6H5O7)2 to meet the Ca goal</t>
  </si>
  <si>
    <t>7. Calculate C6H5O7</t>
  </si>
  <si>
    <t>8. Bring in enough MgC6H6O7 to meet the Mg goal</t>
  </si>
  <si>
    <t>9. Calculate C6H6O7</t>
  </si>
  <si>
    <t>Mix</t>
  </si>
  <si>
    <t>bottles</t>
  </si>
  <si>
    <t>1 flavor pack</t>
  </si>
  <si>
    <t>Recipe size</t>
  </si>
  <si>
    <t>Electrolytes</t>
  </si>
  <si>
    <t>1. Calculate grams per batch</t>
  </si>
  <si>
    <t>Carbohydrate</t>
  </si>
  <si>
    <t>1. Calculate total mmoles/Kg of carb</t>
  </si>
  <si>
    <t>Glucose</t>
  </si>
  <si>
    <t>Fructose</t>
  </si>
  <si>
    <t>2. Since glucose and fructose have the same molar mass, our goal ratio applies to moles as well as g</t>
  </si>
  <si>
    <t>3. Double the goal fructose to get goal sucrose</t>
  </si>
  <si>
    <t>g/ttl fluid</t>
  </si>
  <si>
    <t>packets</t>
  </si>
  <si>
    <t>Packets</t>
  </si>
  <si>
    <t>Ideal</t>
  </si>
  <si>
    <t>Recipe</t>
  </si>
  <si>
    <t>g</t>
  </si>
  <si>
    <t>Baking Soda</t>
  </si>
  <si>
    <t>Table Salt</t>
  </si>
  <si>
    <t>Potassium Cl</t>
  </si>
  <si>
    <t>Ca Citrate</t>
  </si>
  <si>
    <t>Mg Citrate</t>
  </si>
  <si>
    <t>Calories</t>
  </si>
  <si>
    <t>/bottle</t>
  </si>
  <si>
    <t>g/bottle</t>
  </si>
  <si>
    <t>Serving</t>
  </si>
  <si>
    <t>Rounded</t>
  </si>
  <si>
    <t>Achieved</t>
  </si>
  <si>
    <t>Glucose:Fructose ratio.  Lower numbers are sweeter.  Don't go below 1.</t>
  </si>
  <si>
    <t>Larger batches result in closer to ideal electrolyte ratios.</t>
  </si>
  <si>
    <t>Price/100g</t>
  </si>
  <si>
    <t>Cost</t>
  </si>
  <si>
    <t>Cost/Bottle</t>
  </si>
  <si>
    <t>http://www.amazon.com/L-D-Carlson-Maltodextrin-1-LB/dp/B00PZA7ADK/ref=sr_1_2_a_it?ie=UTF8&amp;qid=1464233257&amp;sr=8-2&amp;keywords=maltodextrin</t>
  </si>
  <si>
    <t>Grocery Store</t>
  </si>
  <si>
    <t>http://www.amazon.com/Foods-Potassium-Chloride-Powder-Ounces/dp/B001F0QW42/ref=sr_1_1?ie=UTF8&amp;qid=1378140802&amp;sr=8-1&amp;keywords=Potassium+Chloride</t>
  </si>
  <si>
    <t>http://www.amazon.com/Foods-Magnesium-Citrate-Powder-Ounces/dp/B004189JCW/ref=sr_1_1?ie=UTF8&amp;qid=1378147036&amp;sr=8-1&amp;keywords=magnesium+powder</t>
  </si>
  <si>
    <t>http://www.amazon.com/Foods-Calcium-Citrate-100%25-Powder/dp/B00SPRWIHI/ref=sr_1_1_a_it?ie=UTF8&amp;qid=1464233598&amp;sr=8-1&amp;keywords=calcium+citrate+powder</t>
  </si>
  <si>
    <t>http://www.amazon.com/Kool-Aid-Strawberry-Unsweetened-0-17-Ounce-Packets/dp/B001IZLU96/ref=sr_1_3_a_it?ie=UTF8&amp;qid=1464123168&amp;sr=8-3&amp;keywords=kool+aid+unsweetened+strawberry+kiwi</t>
  </si>
  <si>
    <t>USD</t>
  </si>
  <si>
    <t>http://www.amazon.com/Arm-Hammer-Baking-Soda-Lbs/dp/B00HNSJSX2/ref=sr_1_5_a_it?ie=UTF8&amp;qid=1464233690&amp;sr=8-5&amp;keywords=baking+soda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</si>
</sst>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4" applyNumberFormat="0" applyAlignment="0" applyProtection="0"/>
    <xf numFmtId="0" fontId="6" fillId="3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</cellStyleXfs>
  <cellXfs count="23">
    <xf numFmtId="0" fontId="0" fillId="0" borderId="0" xfId="0"/>
    <xf numFmtId="0" fontId="5" fillId="2" borderId="4" xfId="6"/>
    <xf numFmtId="0" fontId="4" fillId="0" borderId="3" xfId="4"/>
    <xf numFmtId="0" fontId="4" fillId="0" borderId="0" xfId="5"/>
    <xf numFmtId="0" fontId="3" fillId="0" borderId="2" xfId="3"/>
    <xf numFmtId="0" fontId="7" fillId="0" borderId="0" xfId="8"/>
    <xf numFmtId="0" fontId="4" fillId="0" borderId="3" xfId="4" applyAlignment="1">
      <alignment horizontal="center"/>
    </xf>
    <xf numFmtId="2" fontId="0" fillId="0" borderId="0" xfId="0" applyNumberFormat="1"/>
    <xf numFmtId="44" fontId="0" fillId="0" borderId="0" xfId="1" applyFont="1"/>
    <xf numFmtId="2" fontId="0" fillId="0" borderId="0" xfId="1" applyNumberFormat="1" applyFont="1"/>
    <xf numFmtId="0" fontId="8" fillId="0" borderId="5" xfId="9"/>
    <xf numFmtId="2" fontId="8" fillId="0" borderId="5" xfId="9" applyNumberFormat="1"/>
    <xf numFmtId="164" fontId="0" fillId="0" borderId="0" xfId="0" applyNumberFormat="1"/>
    <xf numFmtId="44" fontId="4" fillId="0" borderId="3" xfId="4" applyNumberFormat="1"/>
    <xf numFmtId="1" fontId="0" fillId="0" borderId="0" xfId="0" applyNumberFormat="1"/>
    <xf numFmtId="0" fontId="2" fillId="0" borderId="1" xfId="2"/>
    <xf numFmtId="0" fontId="6" fillId="3" borderId="4" xfId="7"/>
    <xf numFmtId="0" fontId="4" fillId="0" borderId="0" xfId="5" applyFill="1" applyBorder="1"/>
    <xf numFmtId="0" fontId="0" fillId="0" borderId="0" xfId="0" quotePrefix="1"/>
    <xf numFmtId="2" fontId="6" fillId="3" borderId="4" xfId="7" applyNumberFormat="1"/>
    <xf numFmtId="1" fontId="6" fillId="3" borderId="4" xfId="7" applyNumberFormat="1"/>
    <xf numFmtId="44" fontId="0" fillId="0" borderId="0" xfId="0" applyNumberFormat="1"/>
    <xf numFmtId="44" fontId="6" fillId="3" borderId="4" xfId="7" applyNumberFormat="1"/>
  </cellXfs>
  <cellStyles count="10">
    <cellStyle name="Calculation" xfId="7" builtinId="22"/>
    <cellStyle name="Currency" xfId="1" builtinId="4"/>
    <cellStyle name="Explanatory Text" xfId="8" builtinId="53"/>
    <cellStyle name="Heading 1" xfId="2" builtinId="16"/>
    <cellStyle name="Heading 2" xfId="3" builtinId="17"/>
    <cellStyle name="Heading 3" xfId="4" builtinId="18"/>
    <cellStyle name="Heading 4" xfId="5" builtinId="19"/>
    <cellStyle name="Input" xfId="6" builtinId="20"/>
    <cellStyle name="Normal" xfId="0" builtinId="0"/>
    <cellStyle name="Total" xfId="9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40"/>
  <sheetViews>
    <sheetView tabSelected="1" workbookViewId="0">
      <selection activeCell="G29" sqref="G29"/>
    </sheetView>
  </sheetViews>
  <sheetFormatPr defaultRowHeight="14.4" x14ac:dyDescent="0.3"/>
  <cols>
    <col min="1" max="1" width="3.21875" customWidth="1"/>
    <col min="3" max="3" width="11.6640625" customWidth="1"/>
    <col min="5" max="5" width="2.77734375" customWidth="1"/>
  </cols>
  <sheetData>
    <row r="2" spans="2:6" ht="18" thickBot="1" x14ac:dyDescent="0.4">
      <c r="B2" s="4" t="s">
        <v>5</v>
      </c>
      <c r="C2" s="4"/>
      <c r="D2" s="4"/>
      <c r="E2" s="4"/>
      <c r="F2" s="4"/>
    </row>
    <row r="3" spans="2:6" ht="15.6" thickTop="1" thickBot="1" x14ac:dyDescent="0.35">
      <c r="D3" s="6" t="s">
        <v>6</v>
      </c>
      <c r="F3" s="6" t="s">
        <v>76</v>
      </c>
    </row>
    <row r="4" spans="2:6" x14ac:dyDescent="0.3">
      <c r="C4" s="3" t="s">
        <v>0</v>
      </c>
      <c r="D4" s="1">
        <v>0.02</v>
      </c>
      <c r="F4" s="19">
        <f>Calculations!C28</f>
        <v>1.9298727823175245E-2</v>
      </c>
    </row>
    <row r="5" spans="2:6" x14ac:dyDescent="0.3">
      <c r="C5" s="3" t="s">
        <v>1</v>
      </c>
      <c r="D5" s="1">
        <v>0.05</v>
      </c>
      <c r="F5" s="19">
        <f>Calculations!D28</f>
        <v>4.9885830267664591E-2</v>
      </c>
    </row>
    <row r="6" spans="2:6" x14ac:dyDescent="0.3">
      <c r="C6" s="3" t="s">
        <v>2</v>
      </c>
      <c r="D6" s="1">
        <v>1.1499999999999999</v>
      </c>
      <c r="F6" s="19">
        <f>Calculations!E28</f>
        <v>1.1466634512560252</v>
      </c>
    </row>
    <row r="7" spans="2:6" x14ac:dyDescent="0.3">
      <c r="C7" s="3" t="s">
        <v>3</v>
      </c>
      <c r="D7" s="1">
        <v>0.23</v>
      </c>
      <c r="F7" s="19">
        <f>Calculations!F28</f>
        <v>0.23077129443326624</v>
      </c>
    </row>
    <row r="8" spans="2:6" x14ac:dyDescent="0.3">
      <c r="C8" s="3" t="s">
        <v>4</v>
      </c>
      <c r="D8" s="1">
        <v>1.48</v>
      </c>
      <c r="F8" s="19">
        <f>Calculations!G28</f>
        <v>1.4709672408165626</v>
      </c>
    </row>
    <row r="10" spans="2:6" ht="18" thickBot="1" x14ac:dyDescent="0.4">
      <c r="B10" s="4" t="s">
        <v>7</v>
      </c>
      <c r="C10" s="4"/>
      <c r="D10" s="4"/>
      <c r="E10" s="4"/>
      <c r="F10" s="4"/>
    </row>
    <row r="11" spans="2:6" ht="15.6" thickTop="1" thickBot="1" x14ac:dyDescent="0.35">
      <c r="D11" s="6" t="s">
        <v>11</v>
      </c>
    </row>
    <row r="12" spans="2:6" x14ac:dyDescent="0.3">
      <c r="C12" s="3" t="s">
        <v>8</v>
      </c>
      <c r="D12" s="1">
        <v>24</v>
      </c>
    </row>
    <row r="13" spans="2:6" x14ac:dyDescent="0.3">
      <c r="C13" s="3" t="s">
        <v>9</v>
      </c>
      <c r="D13" s="1">
        <v>48</v>
      </c>
      <c r="F13" s="5" t="s">
        <v>10</v>
      </c>
    </row>
    <row r="15" spans="2:6" ht="18" thickBot="1" x14ac:dyDescent="0.4">
      <c r="B15" s="4" t="s">
        <v>14</v>
      </c>
      <c r="C15" s="4"/>
      <c r="D15" s="4"/>
      <c r="E15" s="4"/>
      <c r="F15" s="4"/>
    </row>
    <row r="16" spans="2:6" ht="15.6" thickTop="1" thickBot="1" x14ac:dyDescent="0.35">
      <c r="D16" s="6" t="s">
        <v>13</v>
      </c>
      <c r="F16" s="6" t="s">
        <v>76</v>
      </c>
    </row>
    <row r="17" spans="2:7" x14ac:dyDescent="0.3">
      <c r="C17" s="3" t="s">
        <v>12</v>
      </c>
      <c r="D17" s="1">
        <v>193</v>
      </c>
      <c r="F17" s="20">
        <f>Calculations!B30</f>
        <v>192.7733015448207</v>
      </c>
    </row>
    <row r="18" spans="2:7" x14ac:dyDescent="0.3">
      <c r="C18" s="3" t="s">
        <v>15</v>
      </c>
      <c r="D18" s="1">
        <f>3/2</f>
        <v>1.5</v>
      </c>
      <c r="F18" s="5" t="s">
        <v>77</v>
      </c>
    </row>
    <row r="20" spans="2:7" ht="18" thickBot="1" x14ac:dyDescent="0.4">
      <c r="B20" s="4" t="s">
        <v>48</v>
      </c>
      <c r="C20" s="4"/>
      <c r="D20" s="4"/>
      <c r="E20" s="4"/>
      <c r="F20" s="4"/>
    </row>
    <row r="21" spans="2:7" ht="15.6" thickTop="1" thickBot="1" x14ac:dyDescent="0.35">
      <c r="D21" s="6" t="s">
        <v>49</v>
      </c>
      <c r="F21" s="6" t="s">
        <v>76</v>
      </c>
    </row>
    <row r="22" spans="2:7" x14ac:dyDescent="0.3">
      <c r="C22" s="3" t="s">
        <v>50</v>
      </c>
      <c r="D22" s="1">
        <v>5</v>
      </c>
      <c r="F22" s="20">
        <f>D23/D34</f>
        <v>5</v>
      </c>
    </row>
    <row r="23" spans="2:7" x14ac:dyDescent="0.3">
      <c r="C23" s="3" t="s">
        <v>51</v>
      </c>
      <c r="D23" s="1">
        <v>50</v>
      </c>
      <c r="F23" s="5" t="s">
        <v>78</v>
      </c>
    </row>
    <row r="25" spans="2:7" ht="18" thickBot="1" x14ac:dyDescent="0.4">
      <c r="B25" s="4" t="s">
        <v>64</v>
      </c>
      <c r="C25" s="4"/>
      <c r="D25" s="4"/>
      <c r="E25" s="4"/>
      <c r="F25" s="4"/>
    </row>
    <row r="26" spans="2:7" ht="15" thickTop="1" x14ac:dyDescent="0.3"/>
    <row r="27" spans="2:7" x14ac:dyDescent="0.3">
      <c r="C27" s="3" t="s">
        <v>27</v>
      </c>
      <c r="D27" s="16">
        <f>Calculations!N4</f>
        <v>1051</v>
      </c>
      <c r="E27" t="s">
        <v>65</v>
      </c>
      <c r="G27" s="8">
        <f>D27*VLOOKUP(C27,Tables!G:H,2,FALSE)/100</f>
        <v>1.1574889867841411</v>
      </c>
    </row>
    <row r="28" spans="2:7" x14ac:dyDescent="0.3">
      <c r="C28" s="3" t="s">
        <v>21</v>
      </c>
      <c r="D28" s="16">
        <f>Calculations!N3</f>
        <v>368</v>
      </c>
      <c r="E28" t="s">
        <v>65</v>
      </c>
      <c r="G28" s="8">
        <f>D28*VLOOKUP(C28,Tables!G:H,2,FALSE)/100</f>
        <v>6.4845814977973575</v>
      </c>
    </row>
    <row r="29" spans="2:7" x14ac:dyDescent="0.3">
      <c r="C29" s="3" t="s">
        <v>66</v>
      </c>
      <c r="D29" s="16">
        <f>Calculations!N5</f>
        <v>30</v>
      </c>
      <c r="E29" t="s">
        <v>65</v>
      </c>
      <c r="G29" s="8">
        <f>D29*VLOOKUP(C29,Tables!G:H,2,FALSE)/100</f>
        <v>0.33076074972436603</v>
      </c>
    </row>
    <row r="30" spans="2:7" x14ac:dyDescent="0.3">
      <c r="C30" s="3" t="s">
        <v>67</v>
      </c>
      <c r="D30" s="16">
        <f>Calculations!N6</f>
        <v>52</v>
      </c>
      <c r="E30" t="s">
        <v>65</v>
      </c>
      <c r="G30" s="8">
        <f>D30*VLOOKUP(C30,Tables!G:H,2,FALSE)/100</f>
        <v>0.11453744493392071</v>
      </c>
    </row>
    <row r="31" spans="2:7" x14ac:dyDescent="0.3">
      <c r="C31" s="3" t="s">
        <v>68</v>
      </c>
      <c r="D31" s="16">
        <f>Calculations!N7</f>
        <v>11</v>
      </c>
      <c r="E31" t="s">
        <v>65</v>
      </c>
      <c r="G31" s="8">
        <f>D31*VLOOKUP(C31,Tables!G:H,2,FALSE)/100</f>
        <v>0.32466960352422908</v>
      </c>
    </row>
    <row r="32" spans="2:7" x14ac:dyDescent="0.3">
      <c r="C32" s="3" t="s">
        <v>69</v>
      </c>
      <c r="D32" s="16">
        <f>Calculations!N8</f>
        <v>2</v>
      </c>
      <c r="E32" t="s">
        <v>65</v>
      </c>
      <c r="G32" s="8">
        <f>D32*VLOOKUP(C32,Tables!G:H,2,FALSE)/100</f>
        <v>0.10229074889867841</v>
      </c>
    </row>
    <row r="33" spans="3:7" x14ac:dyDescent="0.3">
      <c r="C33" s="3" t="s">
        <v>70</v>
      </c>
      <c r="D33" s="16">
        <f>Calculations!N9</f>
        <v>11</v>
      </c>
      <c r="E33" t="s">
        <v>65</v>
      </c>
      <c r="G33" s="8">
        <f>D33*VLOOKUP(C33,Tables!G:H,2,FALSE)/100</f>
        <v>0.51801762114537442</v>
      </c>
    </row>
    <row r="34" spans="3:7" x14ac:dyDescent="0.3">
      <c r="C34" s="3" t="s">
        <v>31</v>
      </c>
      <c r="D34" s="16">
        <f>Calculations!O10</f>
        <v>10</v>
      </c>
      <c r="E34" t="s">
        <v>61</v>
      </c>
      <c r="G34" s="8">
        <f>D34*VLOOKUP(C34,Tables!G:H,2,FALSE)</f>
        <v>3.6062499999999997</v>
      </c>
    </row>
    <row r="36" spans="3:7" x14ac:dyDescent="0.3">
      <c r="C36" s="17" t="s">
        <v>71</v>
      </c>
      <c r="D36" s="20">
        <f>ROUND(SUM(Calculations!K28:L28)*3.87/D13*D12,0)</f>
        <v>110</v>
      </c>
      <c r="E36" s="18" t="s">
        <v>72</v>
      </c>
    </row>
    <row r="37" spans="3:7" x14ac:dyDescent="0.3">
      <c r="C37" s="17" t="s">
        <v>74</v>
      </c>
      <c r="D37" s="20">
        <f>ROUND(Calculations!B28/Recipe!D13*Recipe!D12,0)</f>
        <v>31</v>
      </c>
      <c r="E37" t="s">
        <v>73</v>
      </c>
    </row>
    <row r="39" spans="3:7" x14ac:dyDescent="0.3">
      <c r="C39" s="17" t="s">
        <v>80</v>
      </c>
      <c r="D39" s="22">
        <f>SUM(G27:G34)</f>
        <v>12.638596652808067</v>
      </c>
      <c r="E39" t="s">
        <v>88</v>
      </c>
    </row>
    <row r="40" spans="3:7" x14ac:dyDescent="0.3">
      <c r="C40" s="17" t="s">
        <v>81</v>
      </c>
      <c r="D40" s="22">
        <f>D39/D23</f>
        <v>0.25277193305616136</v>
      </c>
      <c r="E40" t="s">
        <v>88</v>
      </c>
    </row>
  </sheetData>
  <mergeCells count="5">
    <mergeCell ref="B2:F2"/>
    <mergeCell ref="B10:F10"/>
    <mergeCell ref="B15:F15"/>
    <mergeCell ref="B20:F20"/>
    <mergeCell ref="B25:F25"/>
  </mergeCells>
  <pageMargins left="0.7" right="0.7" top="0.75" bottom="0.75" header="0.3" footer="0.3"/>
  <pageSetup paperSize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A18" sqref="A18"/>
    </sheetView>
  </sheetViews>
  <sheetFormatPr defaultRowHeight="14.4" x14ac:dyDescent="0.3"/>
  <cols>
    <col min="1" max="1" width="17.5546875" bestFit="1" customWidth="1"/>
    <col min="12" max="12" width="11.88671875" bestFit="1" customWidth="1"/>
  </cols>
  <sheetData>
    <row r="1" spans="1:18" ht="20.399999999999999" thickBot="1" x14ac:dyDescent="0.45">
      <c r="A1" s="15" t="s">
        <v>63</v>
      </c>
    </row>
    <row r="2" spans="1:18" ht="15.6" thickTop="1" thickBot="1" x14ac:dyDescent="0.35">
      <c r="B2" s="2" t="s">
        <v>60</v>
      </c>
      <c r="C2" s="2" t="s">
        <v>0</v>
      </c>
      <c r="D2" s="2" t="s">
        <v>1</v>
      </c>
      <c r="E2" s="13" t="s">
        <v>2</v>
      </c>
      <c r="F2" s="2" t="s">
        <v>3</v>
      </c>
      <c r="G2" s="2" t="s">
        <v>4</v>
      </c>
      <c r="H2" s="2" t="s">
        <v>19</v>
      </c>
      <c r="I2" s="2" t="s">
        <v>18</v>
      </c>
      <c r="J2" s="2" t="s">
        <v>37</v>
      </c>
      <c r="K2" s="2" t="s">
        <v>20</v>
      </c>
      <c r="L2" s="2" t="s">
        <v>21</v>
      </c>
      <c r="N2" s="2" t="s">
        <v>23</v>
      </c>
      <c r="O2" s="2" t="s">
        <v>62</v>
      </c>
      <c r="R2" s="2" t="s">
        <v>52</v>
      </c>
    </row>
    <row r="3" spans="1:18" x14ac:dyDescent="0.3">
      <c r="A3" t="s">
        <v>21</v>
      </c>
      <c r="B3" s="7">
        <f t="shared" ref="B3:B6" si="0">SUM(C3:L3)</f>
        <v>14.717142954421217</v>
      </c>
      <c r="C3" s="7"/>
      <c r="D3" s="7"/>
      <c r="E3" s="9"/>
      <c r="F3" s="7"/>
      <c r="G3" s="7"/>
      <c r="H3" s="7"/>
      <c r="I3" s="7"/>
      <c r="J3" s="7"/>
      <c r="K3" s="7"/>
      <c r="L3" s="7">
        <f>L13*Tables!B13/1000</f>
        <v>14.717142954421217</v>
      </c>
      <c r="N3">
        <f>ROUND(Recipe!$D$12/Recipe!$D$13*B3*Recipe!$D$23,0)</f>
        <v>368</v>
      </c>
      <c r="R3" t="s">
        <v>38</v>
      </c>
    </row>
    <row r="4" spans="1:18" x14ac:dyDescent="0.3">
      <c r="A4" t="s">
        <v>20</v>
      </c>
      <c r="B4" s="7">
        <f t="shared" si="0"/>
        <v>42.048931271931608</v>
      </c>
      <c r="C4" s="7"/>
      <c r="D4" s="7"/>
      <c r="E4" s="9"/>
      <c r="F4" s="7"/>
      <c r="G4" s="7"/>
      <c r="H4" s="7"/>
      <c r="I4" s="7"/>
      <c r="J4" s="7"/>
      <c r="K4" s="7">
        <f>K13*Tables!B10/1000</f>
        <v>42.048931271931608</v>
      </c>
      <c r="L4" s="7"/>
      <c r="N4">
        <f>ROUND(Recipe!$D$12/Recipe!$D$13*B4*Recipe!$D$23,0)</f>
        <v>1051</v>
      </c>
      <c r="R4" t="s">
        <v>39</v>
      </c>
    </row>
    <row r="5" spans="1:18" x14ac:dyDescent="0.3">
      <c r="A5" t="s">
        <v>43</v>
      </c>
      <c r="B5" s="7">
        <f t="shared" si="0"/>
        <v>1.1891296409409988</v>
      </c>
      <c r="C5" s="7"/>
      <c r="D5" s="7"/>
      <c r="E5" s="9">
        <f>Recipe!D6-E6</f>
        <v>0.32542711358168097</v>
      </c>
      <c r="F5" s="7"/>
      <c r="G5" s="7"/>
      <c r="H5" s="7">
        <f>E5/Tables!B4*Tables!B9</f>
        <v>0.86370252735931774</v>
      </c>
      <c r="I5" s="7"/>
      <c r="J5" s="7"/>
      <c r="K5" s="7"/>
      <c r="L5" s="7"/>
      <c r="N5">
        <f>ROUND(Recipe!$D$12/Recipe!$D$13*B5*Recipe!$D$23,0)</f>
        <v>30</v>
      </c>
      <c r="R5" t="s">
        <v>40</v>
      </c>
    </row>
    <row r="6" spans="1:18" x14ac:dyDescent="0.3">
      <c r="A6" t="s">
        <v>34</v>
      </c>
      <c r="B6" s="7">
        <f t="shared" si="0"/>
        <v>2.0960434746536132</v>
      </c>
      <c r="C6" s="7"/>
      <c r="D6" s="7"/>
      <c r="E6" s="7">
        <f>G6/Tables!B6*Tables!B4</f>
        <v>0.82457288641831894</v>
      </c>
      <c r="F6" s="7"/>
      <c r="G6" s="7">
        <f>Recipe!D8-G7</f>
        <v>1.2714705882352941</v>
      </c>
      <c r="H6" s="7"/>
      <c r="I6" s="7"/>
      <c r="J6" s="7"/>
      <c r="K6" s="7"/>
      <c r="L6" s="7"/>
      <c r="N6">
        <f>ROUND(Recipe!$D$12/Recipe!$D$13*B6*Recipe!$D$23,0)</f>
        <v>52</v>
      </c>
      <c r="R6" t="s">
        <v>41</v>
      </c>
    </row>
    <row r="7" spans="1:18" x14ac:dyDescent="0.3">
      <c r="A7" t="s">
        <v>33</v>
      </c>
      <c r="B7" s="7">
        <f>SUM(C7:L7)</f>
        <v>0.43852941176470595</v>
      </c>
      <c r="C7" s="7"/>
      <c r="D7" s="7"/>
      <c r="E7" s="9"/>
      <c r="F7" s="7">
        <f>Recipe!D7</f>
        <v>0.23</v>
      </c>
      <c r="G7" s="7">
        <f>F7/Tables!B5*Tables!B6</f>
        <v>0.20852941176470591</v>
      </c>
      <c r="H7" s="7"/>
      <c r="I7" s="7"/>
      <c r="J7" s="7"/>
      <c r="K7" s="7"/>
      <c r="L7" s="7"/>
      <c r="N7">
        <f>ROUND(Recipe!$D$12/Recipe!$D$13*B7*Recipe!$D$23,0)</f>
        <v>11</v>
      </c>
      <c r="R7" t="s">
        <v>42</v>
      </c>
    </row>
    <row r="8" spans="1:18" x14ac:dyDescent="0.3">
      <c r="A8" t="s">
        <v>35</v>
      </c>
      <c r="B8" s="7">
        <f t="shared" ref="B8:B9" si="1">SUM(C8:L8)</f>
        <v>8.2907019294743867E-2</v>
      </c>
      <c r="C8" s="7">
        <f>Recipe!D4</f>
        <v>0.02</v>
      </c>
      <c r="D8" s="7"/>
      <c r="E8" s="9"/>
      <c r="F8" s="7"/>
      <c r="G8" s="7"/>
      <c r="H8" s="7"/>
      <c r="I8" s="7">
        <f>C8/Tables!B2*2/3*Tables!B7</f>
        <v>6.2907019294743863E-2</v>
      </c>
      <c r="K8" s="7"/>
      <c r="L8" s="7"/>
      <c r="N8">
        <f>ROUND(Recipe!$D$12/Recipe!$D$13*B8*Recipe!$D$23,0)</f>
        <v>2</v>
      </c>
      <c r="R8" t="s">
        <v>44</v>
      </c>
    </row>
    <row r="9" spans="1:18" x14ac:dyDescent="0.3">
      <c r="A9" t="s">
        <v>36</v>
      </c>
      <c r="B9" s="7">
        <f>SUM(D9:L9)</f>
        <v>0.44100699300699303</v>
      </c>
      <c r="D9" s="7">
        <f>Recipe!D5</f>
        <v>0.05</v>
      </c>
      <c r="E9" s="9"/>
      <c r="F9" s="7"/>
      <c r="G9" s="7"/>
      <c r="H9" s="7"/>
      <c r="I9" s="7"/>
      <c r="J9" s="7">
        <f>D9/Tables!B3*Tables!B8</f>
        <v>0.39100699300699304</v>
      </c>
      <c r="K9" s="7"/>
      <c r="L9" s="7"/>
      <c r="N9">
        <f>ROUND(Recipe!$D$12/Recipe!$D$13*B9*Recipe!$D$23,0)</f>
        <v>11</v>
      </c>
      <c r="R9" t="s">
        <v>45</v>
      </c>
    </row>
    <row r="10" spans="1:18" x14ac:dyDescent="0.3">
      <c r="A10" t="s">
        <v>30</v>
      </c>
      <c r="B10" s="7">
        <f>Recipe!D13/Recipe!D12/Recipe!D22*Tables!E2</f>
        <v>1.92</v>
      </c>
      <c r="C10" s="7"/>
      <c r="D10" s="9"/>
      <c r="E10" s="7"/>
      <c r="F10" s="7"/>
      <c r="G10" s="7"/>
      <c r="H10" s="7"/>
      <c r="I10" s="7"/>
      <c r="J10" s="7"/>
      <c r="K10" s="7"/>
      <c r="L10" s="7"/>
      <c r="N10" s="14">
        <f>Recipe!$D$12/Recipe!$D$13*B10*Recipe!$D$23</f>
        <v>48</v>
      </c>
      <c r="O10">
        <f>ROUND(N10/Tables!E2,0)</f>
        <v>10</v>
      </c>
      <c r="R10" t="s">
        <v>46</v>
      </c>
    </row>
    <row r="11" spans="1:18" x14ac:dyDescent="0.3">
      <c r="D11" s="8"/>
      <c r="R11" t="s">
        <v>47</v>
      </c>
    </row>
    <row r="12" spans="1:18" ht="15" thickBot="1" x14ac:dyDescent="0.35">
      <c r="A12" s="10" t="s">
        <v>24</v>
      </c>
      <c r="B12" s="11">
        <f>SUM(B3:B10)</f>
        <v>62.933690766013882</v>
      </c>
      <c r="C12" s="11">
        <f t="shared" ref="C12:L12" si="2">SUM(C3:C10)</f>
        <v>0.02</v>
      </c>
      <c r="D12" s="11">
        <f t="shared" si="2"/>
        <v>0.05</v>
      </c>
      <c r="E12" s="11">
        <f t="shared" si="2"/>
        <v>1.1499999999999999</v>
      </c>
      <c r="F12" s="11">
        <f t="shared" si="2"/>
        <v>0.23</v>
      </c>
      <c r="G12" s="11">
        <f t="shared" si="2"/>
        <v>1.48</v>
      </c>
      <c r="H12" s="11">
        <f t="shared" si="2"/>
        <v>0.86370252735931774</v>
      </c>
      <c r="I12" s="11">
        <f t="shared" si="2"/>
        <v>6.2907019294743863E-2</v>
      </c>
      <c r="J12" s="11">
        <f t="shared" ref="J12" si="3">SUM(J3:J10)</f>
        <v>0.39100699300699304</v>
      </c>
      <c r="K12" s="11">
        <f t="shared" si="2"/>
        <v>42.048931271931608</v>
      </c>
      <c r="L12" s="11">
        <f t="shared" si="2"/>
        <v>14.717142954421217</v>
      </c>
    </row>
    <row r="13" spans="1:18" ht="15.6" thickTop="1" thickBot="1" x14ac:dyDescent="0.35">
      <c r="A13" t="s">
        <v>25</v>
      </c>
      <c r="B13" s="12">
        <f>SUM(C13:L13)</f>
        <v>262.63029456323545</v>
      </c>
      <c r="C13" s="12">
        <f>C12/VLOOKUP(C2,Tables!$A:$B,2,FALSE)*1000</f>
        <v>0.49900199600798412</v>
      </c>
      <c r="D13" s="12">
        <f>D12/VLOOKUP(D2,Tables!$A:$B,2,FALSE)*1000</f>
        <v>2.056766762649116</v>
      </c>
      <c r="E13" s="12">
        <f>E12/VLOOKUP(E2,Tables!$A:$B,2,FALSE)*1000</f>
        <v>50.021748586341893</v>
      </c>
      <c r="F13" s="12">
        <f>F12/VLOOKUP(F2,Tables!$A:$B,2,FALSE)*1000</f>
        <v>5.8823529411764701</v>
      </c>
      <c r="G13" s="12">
        <f>G12/VLOOKUP(G2,Tables!$A:$B,2,FALSE)*1000</f>
        <v>41.748942172073342</v>
      </c>
      <c r="H13" s="12">
        <f>H12/VLOOKUP(H2,Tables!$A:$B,2,FALSE)*1000</f>
        <v>14.155159355445019</v>
      </c>
      <c r="I13" s="12">
        <f>I12/VLOOKUP(I2,Tables!$A:$B,2,FALSE)*1000</f>
        <v>0.3326679973386561</v>
      </c>
      <c r="J13" s="12">
        <f>J12/VLOOKUP(J2,Tables!$A:$B,2,FALSE)*1000</f>
        <v>2.056766762649116</v>
      </c>
      <c r="K13" s="12">
        <f>K14/2.20462/16*Recipe!$D$13</f>
        <v>116.70151039164304</v>
      </c>
      <c r="L13" s="12">
        <f>L14/2.20462/16*Recipe!$D$13</f>
        <v>29.175377597910789</v>
      </c>
      <c r="R13" s="2" t="s">
        <v>16</v>
      </c>
    </row>
    <row r="14" spans="1:18" x14ac:dyDescent="0.3">
      <c r="A14" t="s">
        <v>26</v>
      </c>
      <c r="B14" s="12">
        <f>Recipe!D17</f>
        <v>193</v>
      </c>
      <c r="C14" s="12">
        <f>C13/Recipe!$D$13*16*2.20462</f>
        <v>0.36670326014637394</v>
      </c>
      <c r="D14" s="12">
        <f>D13/Recipe!$D$13*16*2.20462</f>
        <v>1.5114630467571646</v>
      </c>
      <c r="E14" s="12">
        <f>E13/Recipe!$D$13*16*2.20462</f>
        <v>36.759649122807019</v>
      </c>
      <c r="F14" s="12">
        <f>F13/Recipe!$D$13*16*2.20462</f>
        <v>4.3227843137254895</v>
      </c>
      <c r="G14" s="12">
        <f>G13/Recipe!$D$13*16*2.20462</f>
        <v>30.680184297132108</v>
      </c>
      <c r="H14" s="12">
        <f>H13/Recipe!$D$13*16*2.20462</f>
        <v>10.402249139400398</v>
      </c>
      <c r="I14" s="12">
        <f>I13/Recipe!$D$13*16*2.20462</f>
        <v>0.24446884009758263</v>
      </c>
      <c r="J14" s="12">
        <f>J13/Recipe!$D$13*16*2.20462</f>
        <v>1.5114630467571646</v>
      </c>
      <c r="K14" s="12">
        <f>(B14-SUM(C14:J14))/(1+Recipe!D18)*2</f>
        <v>85.760827946541355</v>
      </c>
      <c r="L14" s="12">
        <f>B14-SUM(C14:K14)</f>
        <v>21.44020698663536</v>
      </c>
      <c r="R14" t="s">
        <v>53</v>
      </c>
    </row>
    <row r="16" spans="1:18" ht="15" thickBot="1" x14ac:dyDescent="0.35">
      <c r="R16" s="2" t="s">
        <v>54</v>
      </c>
    </row>
    <row r="17" spans="1:18" ht="20.399999999999999" thickBot="1" x14ac:dyDescent="0.45">
      <c r="A17" s="15" t="s">
        <v>75</v>
      </c>
      <c r="R17" t="s">
        <v>55</v>
      </c>
    </row>
    <row r="18" spans="1:18" ht="15.6" thickTop="1" thickBot="1" x14ac:dyDescent="0.35">
      <c r="B18" s="2" t="s">
        <v>60</v>
      </c>
      <c r="C18" s="2" t="s">
        <v>0</v>
      </c>
      <c r="D18" s="2" t="s">
        <v>1</v>
      </c>
      <c r="E18" s="13" t="s">
        <v>2</v>
      </c>
      <c r="F18" s="2" t="s">
        <v>3</v>
      </c>
      <c r="G18" s="2" t="s">
        <v>4</v>
      </c>
      <c r="H18" s="2" t="s">
        <v>19</v>
      </c>
      <c r="I18" s="2" t="s">
        <v>18</v>
      </c>
      <c r="J18" s="2" t="s">
        <v>37</v>
      </c>
      <c r="K18" s="2" t="s">
        <v>20</v>
      </c>
      <c r="L18" s="2" t="s">
        <v>21</v>
      </c>
      <c r="R18" t="s">
        <v>58</v>
      </c>
    </row>
    <row r="19" spans="1:18" x14ac:dyDescent="0.3">
      <c r="A19" t="s">
        <v>21</v>
      </c>
      <c r="B19" s="7">
        <f>N3/Recipe!$D$23*Recipe!$D$13/Recipe!$D$12</f>
        <v>14.72</v>
      </c>
      <c r="C19" s="7"/>
      <c r="D19" s="7"/>
      <c r="E19" s="7"/>
      <c r="F19" s="7"/>
      <c r="G19" s="7"/>
      <c r="H19" s="7"/>
      <c r="I19" s="7"/>
      <c r="J19" s="7"/>
      <c r="K19" s="7"/>
      <c r="L19" s="7">
        <f>B19</f>
        <v>14.72</v>
      </c>
      <c r="R19" t="s">
        <v>59</v>
      </c>
    </row>
    <row r="20" spans="1:18" x14ac:dyDescent="0.3">
      <c r="A20" t="s">
        <v>20</v>
      </c>
      <c r="B20" s="7">
        <f>N4/Recipe!$D$23*Recipe!$D$13/Recipe!$D$12</f>
        <v>42.04</v>
      </c>
      <c r="C20" s="7"/>
      <c r="D20" s="7"/>
      <c r="E20" s="7"/>
      <c r="F20" s="7"/>
      <c r="G20" s="7"/>
      <c r="H20" s="7"/>
      <c r="I20" s="7"/>
      <c r="J20" s="7"/>
      <c r="K20" s="7">
        <f>B20</f>
        <v>42.04</v>
      </c>
      <c r="L20" s="7"/>
    </row>
    <row r="21" spans="1:18" x14ac:dyDescent="0.3">
      <c r="A21" t="s">
        <v>43</v>
      </c>
      <c r="B21" s="7">
        <f>N5/Recipe!$D$23*Recipe!$D$13/Recipe!$D$12</f>
        <v>1.2</v>
      </c>
      <c r="C21" s="7"/>
      <c r="D21" s="7"/>
      <c r="E21" s="7">
        <f>B21*Tables!B4/(Tables!B4+Tables!B9)</f>
        <v>0.32840198650585428</v>
      </c>
      <c r="F21" s="7"/>
      <c r="G21" s="7"/>
      <c r="H21" s="7">
        <f>B21*Tables!B9/(Tables!B4+Tables!B9)</f>
        <v>0.87159801349414578</v>
      </c>
      <c r="I21" s="7"/>
      <c r="J21" s="7"/>
      <c r="K21" s="7"/>
      <c r="L21" s="7"/>
    </row>
    <row r="22" spans="1:18" x14ac:dyDescent="0.3">
      <c r="A22" t="s">
        <v>34</v>
      </c>
      <c r="B22" s="7">
        <f>N6/Recipe!$D$23*Recipe!$D$13/Recipe!$D$12</f>
        <v>2.08</v>
      </c>
      <c r="C22" s="7"/>
      <c r="D22" s="7"/>
      <c r="E22" s="7">
        <f>B22*Tables!B4/(Tables!B4+Tables!B6)</f>
        <v>0.81826146475017103</v>
      </c>
      <c r="F22" s="7"/>
      <c r="G22" s="7">
        <f>B22*Tables!B6/(Tables!B4+Tables!B6)</f>
        <v>1.2617385352498289</v>
      </c>
      <c r="H22" s="7"/>
      <c r="I22" s="7"/>
      <c r="J22" s="7"/>
      <c r="K22" s="7"/>
      <c r="L22" s="7"/>
    </row>
    <row r="23" spans="1:18" x14ac:dyDescent="0.3">
      <c r="A23" t="s">
        <v>33</v>
      </c>
      <c r="B23" s="7">
        <f>N7/Recipe!$D$23*Recipe!$D$13/Recipe!$D$12</f>
        <v>0.44</v>
      </c>
      <c r="C23" s="7"/>
      <c r="D23" s="7"/>
      <c r="E23" s="7"/>
      <c r="F23" s="7">
        <f>B23*Tables!B5/(Tables!B5+Tables!B6)</f>
        <v>0.23077129443326624</v>
      </c>
      <c r="G23" s="7">
        <f>B23*Tables!B6/(Tables!B5+Tables!B6)</f>
        <v>0.2092287055667337</v>
      </c>
      <c r="H23" s="7"/>
      <c r="I23" s="7"/>
      <c r="J23" s="7"/>
      <c r="K23" s="7"/>
      <c r="L23" s="7"/>
    </row>
    <row r="24" spans="1:18" x14ac:dyDescent="0.3">
      <c r="A24" t="s">
        <v>35</v>
      </c>
      <c r="B24" s="7">
        <f>N8/Recipe!$D$23*Recipe!$D$13/Recipe!$D$12</f>
        <v>0.08</v>
      </c>
      <c r="C24" s="7">
        <f>B24*3*Tables!B2/(3*Tables!B2+2*Tables!B7)</f>
        <v>1.9298727823175245E-2</v>
      </c>
      <c r="D24" s="7"/>
      <c r="E24" s="7"/>
      <c r="F24" s="7"/>
      <c r="G24" s="7"/>
      <c r="H24" s="7"/>
      <c r="I24" s="7">
        <f>B24*2*Tables!B7/(3*Tables!B2+2*Tables!B7)</f>
        <v>6.0701272176824757E-2</v>
      </c>
      <c r="J24" s="7"/>
      <c r="K24" s="7"/>
      <c r="L24" s="7"/>
    </row>
    <row r="25" spans="1:18" x14ac:dyDescent="0.3">
      <c r="A25" t="s">
        <v>36</v>
      </c>
      <c r="B25" s="7">
        <f>N9/Recipe!$D$23*Recipe!$D$13/Recipe!$D$12</f>
        <v>0.44</v>
      </c>
      <c r="C25" s="7"/>
      <c r="D25" s="7">
        <f>B25*Tables!B3/(Tables!B3+Tables!B8)</f>
        <v>4.9885830267664591E-2</v>
      </c>
      <c r="E25" s="7"/>
      <c r="F25" s="7"/>
      <c r="G25" s="7"/>
      <c r="H25" s="7"/>
      <c r="I25" s="7"/>
      <c r="J25" s="7">
        <f>B25*Tables!B8/(Tables!B3+Tables!B8)</f>
        <v>0.39011416973233537</v>
      </c>
      <c r="K25" s="7"/>
      <c r="L25" s="7"/>
    </row>
    <row r="26" spans="1:18" x14ac:dyDescent="0.3">
      <c r="A26" t="s">
        <v>30</v>
      </c>
      <c r="B26" s="7">
        <f>O10*Tables!E2/Recipe!D23*Recipe!D13/Recipe!D12</f>
        <v>1.92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8" spans="1:18" ht="15" thickBot="1" x14ac:dyDescent="0.35">
      <c r="A28" s="10" t="s">
        <v>24</v>
      </c>
      <c r="B28" s="11">
        <f>SUM(B19:B26)</f>
        <v>62.919999999999995</v>
      </c>
      <c r="C28" s="11">
        <f t="shared" ref="C28:L28" si="4">SUM(C19:C26)</f>
        <v>1.9298727823175245E-2</v>
      </c>
      <c r="D28" s="11">
        <f t="shared" si="4"/>
        <v>4.9885830267664591E-2</v>
      </c>
      <c r="E28" s="11">
        <f t="shared" si="4"/>
        <v>1.1466634512560252</v>
      </c>
      <c r="F28" s="11">
        <f t="shared" si="4"/>
        <v>0.23077129443326624</v>
      </c>
      <c r="G28" s="11">
        <f t="shared" si="4"/>
        <v>1.4709672408165626</v>
      </c>
      <c r="H28" s="11">
        <f t="shared" si="4"/>
        <v>0.87159801349414578</v>
      </c>
      <c r="I28" s="11">
        <f t="shared" si="4"/>
        <v>6.0701272176824757E-2</v>
      </c>
      <c r="J28" s="11">
        <f t="shared" si="4"/>
        <v>0.39011416973233537</v>
      </c>
      <c r="K28" s="11">
        <f t="shared" si="4"/>
        <v>42.04</v>
      </c>
      <c r="L28" s="11">
        <f t="shared" si="4"/>
        <v>14.72</v>
      </c>
    </row>
    <row r="29" spans="1:18" ht="15" thickTop="1" x14ac:dyDescent="0.3">
      <c r="A29" t="s">
        <v>25</v>
      </c>
      <c r="B29" s="12">
        <f>SUM(C29:L29)</f>
        <v>262.3218081276874</v>
      </c>
      <c r="C29" s="12">
        <f>C28/VLOOKUP(C18,Tables!$A:$B,2,FALSE)*1000</f>
        <v>0.48150518520896318</v>
      </c>
      <c r="D29" s="12">
        <f>D28/VLOOKUP(D18,Tables!$A:$B,2,FALSE)*1000</f>
        <v>2.0520703524337556</v>
      </c>
      <c r="E29" s="12">
        <f>E28/VLOOKUP(E18,Tables!$A:$B,2,FALSE)*1000</f>
        <v>49.876618149457379</v>
      </c>
      <c r="F29" s="12">
        <f>F28/VLOOKUP(F18,Tables!$A:$B,2,FALSE)*1000</f>
        <v>5.9020791415157605</v>
      </c>
      <c r="G29" s="12">
        <f>G28/VLOOKUP(G18,Tables!$A:$B,2,FALSE)*1000</f>
        <v>41.494139374233072</v>
      </c>
      <c r="H29" s="12">
        <f>H28/VLOOKUP(H18,Tables!$A:$B,2,FALSE)*1000</f>
        <v>14.284557916740074</v>
      </c>
      <c r="I29" s="12">
        <f>I28/VLOOKUP(I18,Tables!$A:$B,2,FALSE)*1000</f>
        <v>0.32100345680597547</v>
      </c>
      <c r="J29" s="12">
        <f>J28/VLOOKUP(J18,Tables!$A:$B,2,FALSE)*1000</f>
        <v>2.0520703524337556</v>
      </c>
      <c r="K29" s="12">
        <f>K28/VLOOKUP(K18,Tables!$A:$B,2,FALSE)*1000</f>
        <v>116.67672277177711</v>
      </c>
      <c r="L29" s="12">
        <f>L28/VLOOKUP(L18,Tables!$A:$B,2,FALSE)*1000</f>
        <v>29.181041427081549</v>
      </c>
    </row>
    <row r="30" spans="1:18" x14ac:dyDescent="0.3">
      <c r="A30" t="s">
        <v>26</v>
      </c>
      <c r="B30" s="12">
        <f>SUM(C30:L30)</f>
        <v>192.7733015448207</v>
      </c>
      <c r="C30" s="12">
        <f>C29/Recipe!$D$13*16*2.20462</f>
        <v>0.35384532047179479</v>
      </c>
      <c r="D30" s="12">
        <f>D29/Recipe!$D$13*16*2.20462</f>
        <v>1.5080117801275019</v>
      </c>
      <c r="E30" s="12">
        <f>E29/Recipe!$D$13*16*2.20462</f>
        <v>36.652996634885575</v>
      </c>
      <c r="F30" s="12">
        <f>F29/Recipe!$D$13*16*2.20462</f>
        <v>4.3372805723228245</v>
      </c>
      <c r="G30" s="12">
        <f>G29/Recipe!$D$13*16*2.20462</f>
        <v>30.492936515740571</v>
      </c>
      <c r="H30" s="12">
        <f>H29/Recipe!$D$13*16*2.20462</f>
        <v>10.497340691467832</v>
      </c>
      <c r="I30" s="12">
        <f>I29/Recipe!$D$13*16*2.20462</f>
        <v>0.23589688031452985</v>
      </c>
      <c r="J30" s="12">
        <f>J29/Recipe!$D$13*16*2.20462</f>
        <v>1.5080117801275019</v>
      </c>
      <c r="K30" s="12">
        <f>K29/Recipe!$D$13*16*2.20462</f>
        <v>85.742612185705084</v>
      </c>
      <c r="L30" s="12">
        <f>L29/Recipe!$D$13*16*2.20462</f>
        <v>21.444369183657503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7" sqref="H7"/>
    </sheetView>
  </sheetViews>
  <sheetFormatPr defaultRowHeight="14.4" x14ac:dyDescent="0.3"/>
  <cols>
    <col min="7" max="7" width="17.5546875" bestFit="1" customWidth="1"/>
  </cols>
  <sheetData>
    <row r="1" spans="1:10" ht="15" thickBot="1" x14ac:dyDescent="0.35">
      <c r="B1" s="3" t="s">
        <v>17</v>
      </c>
      <c r="E1" t="s">
        <v>32</v>
      </c>
      <c r="H1" s="2" t="s">
        <v>79</v>
      </c>
    </row>
    <row r="2" spans="1:10" x14ac:dyDescent="0.3">
      <c r="A2" t="s">
        <v>0</v>
      </c>
      <c r="B2" s="7">
        <v>40.08</v>
      </c>
      <c r="D2" t="s">
        <v>31</v>
      </c>
      <c r="E2">
        <f>24/5</f>
        <v>4.8</v>
      </c>
      <c r="G2" t="s">
        <v>21</v>
      </c>
      <c r="H2" s="21">
        <f>8/454*100</f>
        <v>1.7621145374449341</v>
      </c>
      <c r="J2" t="s">
        <v>82</v>
      </c>
    </row>
    <row r="3" spans="1:10" x14ac:dyDescent="0.3">
      <c r="A3" t="s">
        <v>1</v>
      </c>
      <c r="B3" s="7">
        <v>24.31</v>
      </c>
      <c r="G3" t="s">
        <v>27</v>
      </c>
      <c r="H3" s="21">
        <f>2.5/454/5*100</f>
        <v>0.11013215859030838</v>
      </c>
      <c r="J3" t="s">
        <v>83</v>
      </c>
    </row>
    <row r="4" spans="1:10" x14ac:dyDescent="0.3">
      <c r="A4" t="s">
        <v>2</v>
      </c>
      <c r="B4" s="7">
        <v>22.99</v>
      </c>
      <c r="G4" t="s">
        <v>28</v>
      </c>
      <c r="H4" s="21"/>
    </row>
    <row r="5" spans="1:10" x14ac:dyDescent="0.3">
      <c r="A5" t="s">
        <v>3</v>
      </c>
      <c r="B5" s="7">
        <v>39.1</v>
      </c>
      <c r="G5" t="s">
        <v>29</v>
      </c>
      <c r="H5" s="21"/>
    </row>
    <row r="6" spans="1:10" x14ac:dyDescent="0.3">
      <c r="A6" t="s">
        <v>4</v>
      </c>
      <c r="B6" s="7">
        <v>35.450000000000003</v>
      </c>
      <c r="G6" t="s">
        <v>66</v>
      </c>
      <c r="H6" s="21">
        <f>10/907*100</f>
        <v>1.1025358324145533</v>
      </c>
      <c r="J6" t="s">
        <v>89</v>
      </c>
    </row>
    <row r="7" spans="1:10" x14ac:dyDescent="0.3">
      <c r="A7" t="s">
        <v>18</v>
      </c>
      <c r="B7" s="7">
        <v>189.0985</v>
      </c>
      <c r="G7" t="s">
        <v>67</v>
      </c>
      <c r="H7" s="21">
        <f>1/454*100</f>
        <v>0.22026431718061676</v>
      </c>
      <c r="J7" t="s">
        <v>83</v>
      </c>
    </row>
    <row r="8" spans="1:10" x14ac:dyDescent="0.3">
      <c r="A8" t="s">
        <v>37</v>
      </c>
      <c r="B8" s="7">
        <v>190.10759999999999</v>
      </c>
      <c r="G8" t="s">
        <v>68</v>
      </c>
      <c r="H8" s="21">
        <f>26.8/227*100/4</f>
        <v>2.9515418502202646</v>
      </c>
      <c r="J8" t="s">
        <v>84</v>
      </c>
    </row>
    <row r="9" spans="1:10" x14ac:dyDescent="0.3">
      <c r="A9" t="s">
        <v>19</v>
      </c>
      <c r="B9" s="7">
        <v>61.016800000000003</v>
      </c>
      <c r="G9" t="s">
        <v>69</v>
      </c>
      <c r="H9" s="21">
        <f>11.61/227*100</f>
        <v>5.1145374449339203</v>
      </c>
      <c r="J9" t="s">
        <v>86</v>
      </c>
    </row>
    <row r="10" spans="1:10" x14ac:dyDescent="0.3">
      <c r="A10" t="s">
        <v>20</v>
      </c>
      <c r="B10" s="7">
        <f>SUM(B11:B12)</f>
        <v>360.31180000000001</v>
      </c>
      <c r="G10" t="s">
        <v>70</v>
      </c>
      <c r="H10" s="21">
        <f>10.69/227*100</f>
        <v>4.7092511013215859</v>
      </c>
      <c r="J10" t="s">
        <v>85</v>
      </c>
    </row>
    <row r="11" spans="1:10" x14ac:dyDescent="0.3">
      <c r="A11" t="s">
        <v>56</v>
      </c>
      <c r="B11" s="7">
        <v>180.1559</v>
      </c>
      <c r="G11" t="s">
        <v>31</v>
      </c>
      <c r="H11" s="21">
        <f>34.62/96</f>
        <v>0.36062499999999997</v>
      </c>
      <c r="J11" t="s">
        <v>87</v>
      </c>
    </row>
    <row r="12" spans="1:10" x14ac:dyDescent="0.3">
      <c r="A12" t="s">
        <v>57</v>
      </c>
      <c r="B12" s="7">
        <v>180.1559</v>
      </c>
    </row>
    <row r="13" spans="1:10" x14ac:dyDescent="0.3">
      <c r="A13" t="s">
        <v>21</v>
      </c>
      <c r="B13" s="7">
        <v>504.43710299999998</v>
      </c>
    </row>
    <row r="14" spans="1:10" x14ac:dyDescent="0.3">
      <c r="A14" t="s">
        <v>22</v>
      </c>
      <c r="B14" s="7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Recipe</vt:lpstr>
      <vt:lpstr>Calculations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odin</dc:creator>
  <cp:lastModifiedBy>odin</cp:lastModifiedBy>
  <dcterms:created xsi:type="dcterms:W3CDTF">2016-05-26T01:40:56Z</dcterms:created>
  <dcterms:modified xsi:type="dcterms:W3CDTF">2016-05-26T03:39:29Z</dcterms:modified>
</cp:coreProperties>
</file>